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E:\My Drive\AVFTC\Ops\W&amp;B\"/>
    </mc:Choice>
  </mc:AlternateContent>
  <xr:revisionPtr revIDLastSave="0" documentId="13_ncr:1_{48A5388A-7692-4CB3-A736-956F8E401369}" xr6:coauthVersionLast="47" xr6:coauthVersionMax="47" xr10:uidLastSave="{00000000-0000-0000-0000-000000000000}"/>
  <bookViews>
    <workbookView xWindow="4116" yWindow="17172" windowWidth="23256" windowHeight="13176" xr2:uid="{00000000-000D-0000-FFFF-FFFF00000000}"/>
  </bookViews>
  <sheets>
    <sheet name="W&amp;B" sheetId="1" r:id="rId1"/>
    <sheet name="Sheet1" sheetId="2" r:id="rId2"/>
    <sheet name="Sheet2" sheetId="3" r:id="rId3"/>
  </sheets>
  <definedNames>
    <definedName name="_xlnm.Print_Area" localSheetId="0">'W&amp;B'!$A$2:$J$80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17" i="1"/>
  <c r="D16" i="1"/>
  <c r="D15" i="1"/>
  <c r="C17" i="1"/>
  <c r="B8" i="1"/>
  <c r="C8" i="1" s="1"/>
  <c r="E8" i="1" s="1"/>
  <c r="C11" i="1"/>
  <c r="E11" i="1" s="1"/>
  <c r="C9" i="1"/>
  <c r="E9" i="1" s="1"/>
  <c r="C10" i="1"/>
  <c r="B7" i="1"/>
  <c r="C7" i="1" s="1"/>
  <c r="E7" i="1" s="1"/>
  <c r="B6" i="1"/>
  <c r="C6" i="1" s="1"/>
  <c r="E6" i="1" s="1"/>
  <c r="C16" i="1"/>
  <c r="C15" i="1"/>
  <c r="C12" i="1" l="1"/>
  <c r="C14" i="1" s="1"/>
  <c r="C18" i="1" s="1"/>
  <c r="E17" i="1"/>
  <c r="E16" i="1"/>
  <c r="G25" i="1"/>
  <c r="G22" i="1"/>
  <c r="G23" i="1"/>
  <c r="E15" i="1"/>
  <c r="E10" i="1"/>
  <c r="E12" i="1" s="1"/>
  <c r="E14" i="1" s="1"/>
  <c r="E18" i="1" l="1"/>
  <c r="D18" i="1" s="1"/>
  <c r="G11" i="1"/>
  <c r="G21" i="1"/>
  <c r="F11" i="1" l="1"/>
  <c r="D12" i="1"/>
  <c r="F12" i="1"/>
  <c r="D14" i="1"/>
  <c r="G24" i="1" s="1"/>
  <c r="F15" i="1"/>
  <c r="G26" i="1" l="1"/>
</calcChain>
</file>

<file path=xl/sharedStrings.xml><?xml version="1.0" encoding="utf-8"?>
<sst xmlns="http://schemas.openxmlformats.org/spreadsheetml/2006/main" count="73" uniqueCount="65">
  <si>
    <t>Item</t>
  </si>
  <si>
    <t>Weight</t>
  </si>
  <si>
    <t>Arm</t>
  </si>
  <si>
    <t>Moment</t>
  </si>
  <si>
    <t>Normal</t>
  </si>
  <si>
    <t>Aircraft Licensed Empty Weight</t>
  </si>
  <si>
    <t>Rear Seats</t>
  </si>
  <si>
    <t>Front Seats</t>
  </si>
  <si>
    <t>Seat Occupancy Table:</t>
  </si>
  <si>
    <t>Pilot:</t>
  </si>
  <si>
    <t>Copilot:</t>
  </si>
  <si>
    <t>Remaining Useful Load:</t>
  </si>
  <si>
    <t>Fill out the areas in GREEN</t>
  </si>
  <si>
    <t>SETUP:</t>
  </si>
  <si>
    <t>Set the following parameters for your</t>
  </si>
  <si>
    <t>specific aircraft:</t>
  </si>
  <si>
    <t xml:space="preserve">If you need to change the envelopes on </t>
  </si>
  <si>
    <t>the operating chart:   Drag the chart</t>
  </si>
  <si>
    <t xml:space="preserve">to the right or down to reveal the cells </t>
  </si>
  <si>
    <t>behind it and modify them to match the</t>
  </si>
  <si>
    <t>chart for your aircraft.</t>
  </si>
  <si>
    <t>P.O.H. Limitations</t>
  </si>
  <si>
    <t>max gross weight =</t>
  </si>
  <si>
    <t>lbs.</t>
  </si>
  <si>
    <t>max baggage area 1 =</t>
  </si>
  <si>
    <t>max baggage area 2 =</t>
  </si>
  <si>
    <t>max usable fuel =</t>
  </si>
  <si>
    <t>gal.</t>
  </si>
  <si>
    <t>Warnings:</t>
  </si>
  <si>
    <t>Cell D4:  Aircraft Empty Weight</t>
  </si>
  <si>
    <t>Cell F4:  Aircraft Moment</t>
  </si>
  <si>
    <t>Cell E5:  OIL Arm</t>
  </si>
  <si>
    <t>Cell E6:  Fuel Arm</t>
  </si>
  <si>
    <t>Cell E7:  Front Seats Arm</t>
  </si>
  <si>
    <t>Cell E8:  Rear Seats Arm</t>
  </si>
  <si>
    <t>Cells E9 / E10:  Baggage Area Arms</t>
  </si>
  <si>
    <t>Aft C. of G. =</t>
  </si>
  <si>
    <t>Forward C. of G. =</t>
  </si>
  <si>
    <t>inches</t>
  </si>
  <si>
    <t>min. to carry (for safety)=</t>
  </si>
  <si>
    <t>Other Information:</t>
  </si>
  <si>
    <t>WEIGHT AND BALANCE WORKSHEET</t>
  </si>
  <si>
    <t>ZERO FUEL WEIGHT (Triangle)</t>
  </si>
  <si>
    <t>LANDING WEIGHT (Circle)</t>
  </si>
  <si>
    <t>TAKEOFF WEIGHT (Diamond)</t>
  </si>
  <si>
    <t>Tip Tanks</t>
  </si>
  <si>
    <t>Fuel outboard</t>
  </si>
  <si>
    <t>Fuel inboard</t>
  </si>
  <si>
    <t>Baggage</t>
  </si>
  <si>
    <t>Moment Increase with gear retracted</t>
  </si>
  <si>
    <t>Pax-Rear-Left</t>
  </si>
  <si>
    <t>Pax-Rear-Right</t>
  </si>
  <si>
    <t>max fuel inboard</t>
  </si>
  <si>
    <t>max fuel outboard</t>
  </si>
  <si>
    <t>1965 Piper PA-30 Twin Commanche</t>
  </si>
  <si>
    <t>C-GOWD</t>
  </si>
  <si>
    <t>W&amp;B Data effective:</t>
  </si>
  <si>
    <t>Fuel - Inboard - used during flight</t>
  </si>
  <si>
    <t>Fuel - Outboard - used during flight</t>
  </si>
  <si>
    <t>Nacelle Fuel</t>
  </si>
  <si>
    <t>Fuel - Nacelle - used during flight</t>
  </si>
  <si>
    <t>max fuel nacelle</t>
  </si>
  <si>
    <t>Fuel - Inboard (60 gal maximum)</t>
  </si>
  <si>
    <t>Fuel - Outboard (30 gal maximum)</t>
  </si>
  <si>
    <t>Fuel - Nacelle Tanks (20 gal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</si>
</sst>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&quot; gal&quot;"/>
    <numFmt numFmtId="165" formatCode="0.0"/>
    <numFmt numFmtId="167" formatCode="0&quot; LBS&quot;"/>
    <numFmt numFmtId="168" formatCode="#,##0.0"/>
    <numFmt numFmtId="169" formatCode="dd\-mmm\-yyyy"/>
  </numFmts>
  <fonts count="27">
    <font>
      <sz val="9"/>
      <name val="Geneva"/>
    </font>
    <font>
      <sz val="9"/>
      <name val="Geneva"/>
    </font>
    <font>
      <sz val="8"/>
      <name val="Geneva"/>
    </font>
    <font>
      <sz val="9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sz val="10"/>
      <color theme="0" tint="-0.499984740745262"/>
      <name val="Aptos"/>
      <family val="2"/>
    </font>
    <font>
      <u/>
      <sz val="9"/>
      <color theme="0" tint="-0.14999847407452621"/>
      <name val="Aptos"/>
      <family val="2"/>
    </font>
    <font>
      <sz val="9"/>
      <color theme="0" tint="-0.14999847407452621"/>
      <name val="Aptos"/>
      <family val="2"/>
    </font>
    <font>
      <sz val="10"/>
      <color theme="1" tint="0.499984740745262"/>
      <name val="Aptos"/>
      <family val="2"/>
    </font>
    <font>
      <sz val="10"/>
      <color indexed="23"/>
      <name val="Aptos"/>
      <family val="2"/>
    </font>
    <font>
      <sz val="9"/>
      <color indexed="9"/>
      <name val="Aptos"/>
      <family val="2"/>
    </font>
    <font>
      <b/>
      <sz val="10"/>
      <color theme="0" tint="-0.499984740745262"/>
      <name val="Aptos"/>
      <family val="2"/>
    </font>
    <font>
      <b/>
      <sz val="9"/>
      <color theme="0" tint="-0.249977111117893"/>
      <name val="Aptos"/>
      <family val="2"/>
    </font>
    <font>
      <i/>
      <sz val="9"/>
      <color theme="0" tint="-0.14999847407452621"/>
      <name val="Aptos"/>
      <family val="2"/>
    </font>
    <font>
      <b/>
      <sz val="9"/>
      <name val="Aptos"/>
      <family val="2"/>
    </font>
    <font>
      <sz val="10"/>
      <color rgb="FFFF0000"/>
      <name val="Aptos"/>
      <family val="2"/>
    </font>
    <font>
      <b/>
      <sz val="10"/>
      <color indexed="9"/>
      <name val="Aptos"/>
      <family val="2"/>
    </font>
    <font>
      <b/>
      <sz val="14"/>
      <color indexed="16"/>
      <name val="Aptos"/>
      <family val="2"/>
    </font>
    <font>
      <b/>
      <sz val="18"/>
      <color rgb="FFFF0000"/>
      <name val="Aptos"/>
      <family val="2"/>
    </font>
    <font>
      <sz val="8"/>
      <color rgb="FFFF0000"/>
      <name val="Aptos"/>
      <family val="2"/>
    </font>
    <font>
      <b/>
      <sz val="9"/>
      <color rgb="FFFF0000"/>
      <name val="Aptos"/>
      <family val="2"/>
    </font>
    <font>
      <sz val="9"/>
      <color rgb="FFFF0000"/>
      <name val="Aptos"/>
      <family val="2"/>
    </font>
    <font>
      <i/>
      <sz val="10"/>
      <name val="Aptos"/>
      <family val="2"/>
    </font>
    <font>
      <i/>
      <sz val="10"/>
      <color theme="1" tint="0.499984740745262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3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6" fillId="0" borderId="1" xfId="0" applyFont="1" applyBorder="1" applyAlignment="1">
      <alignment horizontal="right"/>
    </xf>
    <xf numFmtId="165" fontId="7" fillId="2" borderId="7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8" fontId="10" fillId="0" borderId="0" xfId="0" applyNumberFormat="1" applyFont="1"/>
    <xf numFmtId="165" fontId="7" fillId="2" borderId="6" xfId="0" applyNumberFormat="1" applyFont="1" applyFill="1" applyBorder="1" applyAlignment="1" applyProtection="1">
      <alignment horizontal="center"/>
      <protection locked="0"/>
    </xf>
    <xf numFmtId="43" fontId="1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>
      <alignment vertical="center"/>
    </xf>
    <xf numFmtId="165" fontId="10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17" fillId="0" borderId="0" xfId="0" applyFont="1"/>
    <xf numFmtId="169" fontId="3" fillId="0" borderId="0" xfId="0" applyNumberFormat="1" applyFont="1" applyAlignment="1">
      <alignment horizontal="center"/>
    </xf>
    <xf numFmtId="0" fontId="18" fillId="0" borderId="0" xfId="0" applyFont="1"/>
    <xf numFmtId="0" fontId="21" fillId="8" borderId="3" xfId="0" applyFont="1" applyFill="1" applyBorder="1" applyAlignment="1">
      <alignment horizontal="left"/>
    </xf>
    <xf numFmtId="0" fontId="22" fillId="8" borderId="13" xfId="0" applyFont="1" applyFill="1" applyBorder="1"/>
    <xf numFmtId="0" fontId="22" fillId="8" borderId="4" xfId="0" applyFont="1" applyFill="1" applyBorder="1"/>
    <xf numFmtId="0" fontId="23" fillId="8" borderId="1" xfId="0" applyFont="1" applyFill="1" applyBorder="1"/>
    <xf numFmtId="0" fontId="24" fillId="8" borderId="0" xfId="0" applyFont="1" applyFill="1"/>
    <xf numFmtId="2" fontId="24" fillId="8" borderId="10" xfId="0" applyNumberFormat="1" applyFont="1" applyFill="1" applyBorder="1"/>
    <xf numFmtId="0" fontId="24" fillId="8" borderId="10" xfId="0" applyFont="1" applyFill="1" applyBorder="1"/>
    <xf numFmtId="0" fontId="23" fillId="8" borderId="2" xfId="0" applyFont="1" applyFill="1" applyBorder="1"/>
    <xf numFmtId="0" fontId="24" fillId="8" borderId="8" xfId="0" applyFont="1" applyFill="1" applyBorder="1"/>
    <xf numFmtId="2" fontId="24" fillId="8" borderId="5" xfId="0" applyNumberFormat="1" applyFont="1" applyFill="1" applyBorder="1"/>
    <xf numFmtId="0" fontId="3" fillId="0" borderId="1" xfId="0" applyFont="1" applyBorder="1"/>
    <xf numFmtId="0" fontId="7" fillId="2" borderId="7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165" fontId="7" fillId="0" borderId="1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3" borderId="1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6" fillId="0" borderId="17" xfId="0" applyFont="1" applyBorder="1" applyAlignment="1">
      <alignment horizontal="left"/>
    </xf>
    <xf numFmtId="168" fontId="6" fillId="0" borderId="18" xfId="1" applyNumberFormat="1" applyFont="1" applyFill="1" applyBorder="1" applyAlignment="1">
      <alignment horizontal="right"/>
    </xf>
    <xf numFmtId="0" fontId="7" fillId="6" borderId="17" xfId="0" applyFont="1" applyFill="1" applyBorder="1" applyAlignment="1">
      <alignment horizontal="center"/>
    </xf>
    <xf numFmtId="168" fontId="7" fillId="6" borderId="18" xfId="1" applyNumberFormat="1" applyFont="1" applyFill="1" applyBorder="1" applyAlignment="1">
      <alignment horizontal="right"/>
    </xf>
    <xf numFmtId="168" fontId="6" fillId="0" borderId="19" xfId="1" applyNumberFormat="1" applyFont="1" applyFill="1" applyBorder="1" applyAlignment="1">
      <alignment horizontal="right"/>
    </xf>
    <xf numFmtId="0" fontId="25" fillId="0" borderId="17" xfId="0" applyFont="1" applyBorder="1" applyAlignment="1">
      <alignment horizontal="center"/>
    </xf>
    <xf numFmtId="168" fontId="11" fillId="0" borderId="18" xfId="1" applyNumberFormat="1" applyFont="1" applyFill="1" applyBorder="1" applyAlignment="1">
      <alignment horizontal="right"/>
    </xf>
    <xf numFmtId="168" fontId="26" fillId="0" borderId="19" xfId="1" applyNumberFormat="1" applyFont="1" applyFill="1" applyBorder="1" applyAlignment="1">
      <alignment horizontal="right"/>
    </xf>
    <xf numFmtId="0" fontId="7" fillId="9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168" fontId="7" fillId="5" borderId="18" xfId="1" applyNumberFormat="1" applyFont="1" applyFill="1" applyBorder="1" applyAlignment="1">
      <alignment horizontal="right" vertical="center"/>
    </xf>
    <xf numFmtId="168" fontId="14" fillId="0" borderId="19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8" fontId="12" fillId="0" borderId="18" xfId="1" applyNumberFormat="1" applyFont="1" applyBorder="1" applyAlignment="1">
      <alignment horizontal="right"/>
    </xf>
    <xf numFmtId="168" fontId="8" fillId="0" borderId="18" xfId="1" applyNumberFormat="1" applyFont="1" applyBorder="1" applyAlignment="1">
      <alignment horizontal="center"/>
    </xf>
    <xf numFmtId="168" fontId="8" fillId="0" borderId="19" xfId="1" applyNumberFormat="1" applyFont="1" applyBorder="1" applyAlignment="1">
      <alignment horizontal="right"/>
    </xf>
    <xf numFmtId="0" fontId="7" fillId="7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168" fontId="7" fillId="7" borderId="21" xfId="1" applyNumberFormat="1" applyFont="1" applyFill="1" applyBorder="1" applyAlignment="1">
      <alignment horizontal="right" vertical="center"/>
    </xf>
    <xf numFmtId="168" fontId="14" fillId="0" borderId="2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4" fillId="3" borderId="17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/>
    </xf>
    <xf numFmtId="0" fontId="15" fillId="8" borderId="0" xfId="0" applyFont="1" applyFill="1" applyAlignment="1">
      <alignment horizontal="center"/>
    </xf>
    <xf numFmtId="0" fontId="19" fillId="4" borderId="11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7" fontId="20" fillId="0" borderId="3" xfId="0" applyNumberFormat="1" applyFont="1" applyBorder="1" applyAlignment="1">
      <alignment horizontal="center" vertical="center"/>
    </xf>
    <xf numFmtId="167" fontId="20" fillId="0" borderId="13" xfId="0" applyNumberFormat="1" applyFont="1" applyBorder="1" applyAlignment="1">
      <alignment horizontal="center" vertical="center"/>
    </xf>
    <xf numFmtId="167" fontId="20" fillId="0" borderId="4" xfId="0" applyNumberFormat="1" applyFont="1" applyBorder="1" applyAlignment="1">
      <alignment horizontal="center" vertical="center"/>
    </xf>
    <xf numFmtId="167" fontId="20" fillId="0" borderId="2" xfId="0" applyNumberFormat="1" applyFont="1" applyBorder="1" applyAlignment="1">
      <alignment horizontal="center" vertical="center"/>
    </xf>
    <xf numFmtId="167" fontId="20" fillId="0" borderId="8" xfId="0" applyNumberFormat="1" applyFont="1" applyBorder="1" applyAlignment="1">
      <alignment horizontal="center" vertical="center"/>
    </xf>
    <xf numFmtId="167" fontId="20" fillId="0" borderId="5" xfId="0" applyNumberFormat="1" applyFont="1" applyBorder="1" applyAlignment="1">
      <alignment horizontal="center" vertical="center"/>
    </xf>
    <xf numFmtId="168" fontId="8" fillId="0" borderId="18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11424378404311"/>
          <c:y val="0.13279010598666907"/>
          <c:w val="0.83836858006042292"/>
          <c:h val="0.72519804094525364"/>
        </c:manualLayout>
      </c:layout>
      <c:scatterChart>
        <c:scatterStyle val="lineMarker"/>
        <c:varyColors val="0"/>
        <c:ser>
          <c:idx val="1"/>
          <c:order val="0"/>
          <c:tx>
            <c:strRef>
              <c:f>'W&amp;B'!$D$27</c:f>
              <c:strCache>
                <c:ptCount val="1"/>
                <c:pt idx="0">
                  <c:v>Normal</c:v>
                </c:pt>
              </c:strCache>
            </c:strRef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'W&amp;B'!$D$28:$D$34</c:f>
              <c:numCache>
                <c:formatCode>General</c:formatCode>
                <c:ptCount val="7"/>
                <c:pt idx="0">
                  <c:v>81</c:v>
                </c:pt>
                <c:pt idx="1">
                  <c:v>83</c:v>
                </c:pt>
                <c:pt idx="2">
                  <c:v>86.5</c:v>
                </c:pt>
                <c:pt idx="3">
                  <c:v>92</c:v>
                </c:pt>
                <c:pt idx="4">
                  <c:v>92</c:v>
                </c:pt>
                <c:pt idx="5">
                  <c:v>81</c:v>
                </c:pt>
              </c:numCache>
            </c:numRef>
          </c:xVal>
          <c:yVal>
            <c:numRef>
              <c:f>'W&amp;B'!$E$28:$E$34</c:f>
              <c:numCache>
                <c:formatCode>General</c:formatCode>
                <c:ptCount val="7"/>
                <c:pt idx="0">
                  <c:v>2450</c:v>
                </c:pt>
                <c:pt idx="1">
                  <c:v>3200</c:v>
                </c:pt>
                <c:pt idx="2">
                  <c:v>3600</c:v>
                </c:pt>
                <c:pt idx="3">
                  <c:v>3600</c:v>
                </c:pt>
                <c:pt idx="4">
                  <c:v>2450</c:v>
                </c:pt>
                <c:pt idx="5">
                  <c:v>2450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DF-4AFA-82D0-71CEFDABCB4E}"/>
            </c:ext>
          </c:extLst>
        </c:ser>
        <c:ser>
          <c:idx val="2"/>
          <c:order val="2"/>
          <c:tx>
            <c:v>Takeoff Weight</c:v>
          </c:tx>
          <c:spPr>
            <a:ln w="12700">
              <a:noFill/>
              <a:prstDash val="solid"/>
            </a:ln>
          </c:spPr>
          <c:marker>
            <c:symbol val="diamond"/>
            <c:size val="12"/>
            <c:spPr>
              <a:solidFill>
                <a:srgbClr val="FF9933"/>
              </a:solidFill>
              <a:ln>
                <a:noFill/>
              </a:ln>
            </c:spPr>
          </c:marker>
          <c:xVal>
            <c:numRef>
              <c:f>'W&amp;B'!$D$14</c:f>
              <c:numCache>
                <c:formatCode>#,##0.0</c:formatCode>
                <c:ptCount val="1"/>
                <c:pt idx="0">
                  <c:v>87.021306353922213</c:v>
                </c:pt>
              </c:numCache>
            </c:numRef>
          </c:xVal>
          <c:yVal>
            <c:numRef>
              <c:f>'W&amp;B'!$C$14</c:f>
              <c:numCache>
                <c:formatCode>#,##0.0</c:formatCode>
                <c:ptCount val="1"/>
                <c:pt idx="0">
                  <c:v>3396.17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DF-4AFA-82D0-71CEFDABCB4E}"/>
            </c:ext>
          </c:extLst>
        </c:ser>
        <c:ser>
          <c:idx val="3"/>
          <c:order val="3"/>
          <c:tx>
            <c:v>Landing Weight</c:v>
          </c:tx>
          <c:spPr>
            <a:ln>
              <a:noFill/>
            </a:ln>
          </c:spPr>
          <c:marker>
            <c:symbol val="circle"/>
            <c:size val="12"/>
          </c:marker>
          <c:xVal>
            <c:numRef>
              <c:f>'W&amp;B'!$D$18</c:f>
              <c:numCache>
                <c:formatCode>#,##0.0</c:formatCode>
                <c:ptCount val="1"/>
                <c:pt idx="0">
                  <c:v>86.693012543029866</c:v>
                </c:pt>
              </c:numCache>
            </c:numRef>
          </c:xVal>
          <c:yVal>
            <c:numRef>
              <c:f>'W&amp;B'!$C$18</c:f>
              <c:numCache>
                <c:formatCode>#,##0.0</c:formatCode>
                <c:ptCount val="1"/>
                <c:pt idx="0">
                  <c:v>3204.17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DF-4AFA-82D0-71CEFDABCB4E}"/>
            </c:ext>
          </c:extLst>
        </c:ser>
        <c:ser>
          <c:idx val="4"/>
          <c:order val="4"/>
          <c:tx>
            <c:v>Zero Fuel Weight</c:v>
          </c:tx>
          <c:spPr>
            <a:ln>
              <a:noFill/>
            </a:ln>
          </c:spPr>
          <c:marker>
            <c:symbol val="triangle"/>
            <c:size val="9"/>
          </c:marker>
          <c:dPt>
            <c:idx val="0"/>
            <c:marker>
              <c:symbol val="triangle"/>
              <c:size val="12"/>
            </c:marker>
            <c:bubble3D val="0"/>
            <c:extLst>
              <c:ext xmlns:c16="http://schemas.microsoft.com/office/drawing/2014/chart" uri="{C3380CC4-5D6E-409C-BE32-E72D297353CC}">
                <c16:uniqueId val="{00000001-B200-41DA-962D-0A85B3B98A73}"/>
              </c:ext>
            </c:extLst>
          </c:dPt>
          <c:xVal>
            <c:numRef>
              <c:f>'W&amp;B'!$D$12</c:f>
              <c:numCache>
                <c:formatCode>#,##0.0</c:formatCode>
                <c:ptCount val="1"/>
                <c:pt idx="0">
                  <c:v>85.543350742095697</c:v>
                </c:pt>
              </c:numCache>
            </c:numRef>
          </c:xVal>
          <c:yVal>
            <c:numRef>
              <c:f>'W&amp;B'!$C$12</c:f>
              <c:numCache>
                <c:formatCode>#,##0.0</c:formatCode>
                <c:ptCount val="1"/>
                <c:pt idx="0">
                  <c:v>2736.17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F4-4C6F-AAD5-0E710A7C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522832"/>
        <c:axId val="1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'W&amp;B'!$A$27</c15:sqref>
                        </c15:formulaRef>
                      </c:ext>
                    </c:extLst>
                    <c:strCache>
                      <c:ptCount val="1"/>
                      <c:pt idx="0">
                        <c:v>Tip Tanks</c:v>
                      </c:pt>
                    </c:strCache>
                  </c:strRef>
                </c:tx>
                <c:spPr>
                  <a:ln w="25400">
                    <a:solidFill>
                      <a:schemeClr val="tx2"/>
                    </a:solidFill>
                    <a:prstDash val="sysDot"/>
                  </a:ln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'W&amp;B'!$A$28:$A$31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'W&amp;B'!$B$28:$B$31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C4DF-4AFA-82D0-71CEFDABCB4E}"/>
                  </c:ext>
                </c:extLst>
              </c15:ser>
            </c15:filteredScatterSeries>
          </c:ext>
        </c:extLst>
      </c:scatterChart>
      <c:valAx>
        <c:axId val="1407522832"/>
        <c:scaling>
          <c:orientation val="minMax"/>
          <c:max val="94"/>
          <c:min val="8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CG (Inces Aft of Datum)</a:t>
                </a:r>
              </a:p>
            </c:rich>
          </c:tx>
          <c:layout>
            <c:manualLayout>
              <c:xMode val="edge"/>
              <c:yMode val="edge"/>
              <c:x val="0.3683644288247665"/>
              <c:y val="0.923481657626096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"/>
        <c:crossesAt val="1500"/>
        <c:crossBetween val="midCat"/>
        <c:majorUnit val="5"/>
        <c:minorUnit val="1"/>
      </c:valAx>
      <c:valAx>
        <c:axId val="1"/>
        <c:scaling>
          <c:orientation val="minMax"/>
          <c:max val="3800"/>
          <c:min val="2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Weight - Pounds</a:t>
                </a:r>
              </a:p>
            </c:rich>
          </c:tx>
          <c:layout>
            <c:manualLayout>
              <c:xMode val="edge"/>
              <c:yMode val="edge"/>
              <c:x val="0"/>
              <c:y val="0.424794046991726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407522832"/>
        <c:crosses val="autoZero"/>
        <c:crossBetween val="midCat"/>
        <c:minorUnit val="100"/>
      </c:valAx>
      <c:spPr>
        <a:solidFill>
          <a:schemeClr val="bg1">
            <a:lumMod val="95000"/>
          </a:schemeClr>
        </a:solidFill>
        <a:ln w="12700" cap="rnd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8391141967469115E-2"/>
          <c:y val="1.4860678216390977E-2"/>
          <c:w val="0.96071394659285336"/>
          <c:h val="8.5859616126449156E-2"/>
        </c:manualLayout>
      </c:layout>
      <c:overlay val="1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ysDash"/>
      <a:beve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ptos" panose="020B0004020202020204" pitchFamily="34" charset="0"/>
          <a:ea typeface="Geneva"/>
          <a:cs typeface="Geneva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53974</xdr:rowOff>
    </xdr:from>
    <xdr:to>
      <xdr:col>4</xdr:col>
      <xdr:colOff>962025</xdr:colOff>
      <xdr:row>50</xdr:row>
      <xdr:rowOff>104776</xdr:rowOff>
    </xdr:to>
    <xdr:graphicFrame macro="">
      <xdr:nvGraphicFramePr>
        <xdr:cNvPr id="1070" name="Chart 2">
          <a:extLst>
            <a:ext uri="{FF2B5EF4-FFF2-40B4-BE49-F238E27FC236}">
              <a16:creationId xmlns:a16="http://schemas.microsoft.com/office/drawing/2014/main" id="{9E1CD8DA-A466-436F-972D-B7357F07C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2"/>
  <sheetViews>
    <sheetView showGridLines="0" tabSelected="1" zoomScaleNormal="100" workbookViewId="0">
      <selection activeCell="B15" activeCellId="2" sqref="J5:J8 H5:H8 B15:B17"/>
    </sheetView>
  </sheetViews>
  <sheetFormatPr defaultColWidth="11.42578125" defaultRowHeight="12"/>
  <cols>
    <col min="1" max="1" width="33.42578125" style="1" bestFit="1" customWidth="1"/>
    <col min="2" max="2" width="12.85546875" style="1" customWidth="1"/>
    <col min="3" max="3" width="13.5703125" style="2" customWidth="1"/>
    <col min="4" max="4" width="11.5703125" style="2" customWidth="1"/>
    <col min="5" max="5" width="14.7109375" style="2" customWidth="1"/>
    <col min="6" max="6" width="3.42578125" style="1" customWidth="1"/>
    <col min="7" max="7" width="18.5703125" style="1" bestFit="1" customWidth="1"/>
    <col min="8" max="8" width="11.42578125" style="1"/>
    <col min="9" max="9" width="14.5703125" style="1" customWidth="1"/>
    <col min="10" max="10" width="11.42578125" style="1"/>
    <col min="11" max="11" width="4.7109375" style="1" customWidth="1"/>
    <col min="12" max="12" width="30.5703125" style="1" hidden="1" customWidth="1"/>
    <col min="13" max="13" width="6.140625" style="2" hidden="1" customWidth="1"/>
    <col min="14" max="14" width="6" style="1" hidden="1" customWidth="1"/>
    <col min="15" max="15" width="10.5703125" style="1" customWidth="1"/>
    <col min="16" max="16" width="11.5703125" style="1" customWidth="1"/>
    <col min="17" max="17" width="56.5703125" style="1" customWidth="1"/>
    <col min="18" max="16384" width="11.42578125" style="1"/>
  </cols>
  <sheetData>
    <row r="1" spans="1:14" ht="5.25" customHeight="1" thickBot="1">
      <c r="G1" s="3"/>
      <c r="H1" s="3"/>
      <c r="I1" s="3"/>
      <c r="J1" s="3"/>
    </row>
    <row r="2" spans="1:14" ht="16.5" thickBot="1">
      <c r="A2" s="79" t="s">
        <v>41</v>
      </c>
      <c r="B2" s="80"/>
      <c r="C2" s="80"/>
      <c r="D2" s="80"/>
      <c r="E2" s="81"/>
      <c r="F2" s="4"/>
      <c r="G2" s="82" t="s">
        <v>12</v>
      </c>
      <c r="H2" s="83"/>
      <c r="I2" s="83"/>
      <c r="J2" s="84"/>
    </row>
    <row r="3" spans="1:14" ht="15.95" customHeight="1">
      <c r="A3" s="69" t="s">
        <v>54</v>
      </c>
      <c r="B3" s="70"/>
      <c r="C3" s="71"/>
      <c r="D3" s="72"/>
      <c r="E3" s="39" t="s">
        <v>55</v>
      </c>
      <c r="G3" s="77" t="s">
        <v>8</v>
      </c>
      <c r="H3" s="78"/>
      <c r="I3" s="77" t="s">
        <v>40</v>
      </c>
      <c r="J3" s="78"/>
    </row>
    <row r="4" spans="1:14" ht="15" customHeight="1">
      <c r="A4" s="40" t="s">
        <v>0</v>
      </c>
      <c r="B4" s="41"/>
      <c r="C4" s="42" t="s">
        <v>1</v>
      </c>
      <c r="D4" s="42" t="s">
        <v>2</v>
      </c>
      <c r="E4" s="43" t="s">
        <v>3</v>
      </c>
      <c r="G4" s="33"/>
      <c r="H4" s="4"/>
      <c r="I4" s="5"/>
      <c r="J4" s="36"/>
      <c r="L4" s="7" t="s">
        <v>21</v>
      </c>
      <c r="M4" s="8"/>
      <c r="N4" s="9"/>
    </row>
    <row r="5" spans="1:14" ht="15" customHeight="1">
      <c r="A5" s="44" t="s">
        <v>5</v>
      </c>
      <c r="B5" s="61"/>
      <c r="C5" s="91">
        <v>2326.17</v>
      </c>
      <c r="D5" s="91">
        <f>E5/C5</f>
        <v>85.428472553596677</v>
      </c>
      <c r="E5" s="62">
        <v>198721.15</v>
      </c>
      <c r="G5" s="37" t="s">
        <v>9</v>
      </c>
      <c r="H5" s="34">
        <v>200</v>
      </c>
      <c r="I5" s="37" t="s">
        <v>47</v>
      </c>
      <c r="J5" s="6">
        <v>60</v>
      </c>
      <c r="L5" s="10" t="s">
        <v>22</v>
      </c>
      <c r="M5" s="11">
        <v>3600</v>
      </c>
      <c r="N5" s="9" t="s">
        <v>23</v>
      </c>
    </row>
    <row r="6" spans="1:14" ht="15" customHeight="1">
      <c r="A6" s="46" t="s">
        <v>62</v>
      </c>
      <c r="B6" s="61">
        <f>J5</f>
        <v>60</v>
      </c>
      <c r="C6" s="91">
        <f>6*B6</f>
        <v>360</v>
      </c>
      <c r="D6" s="91">
        <v>90</v>
      </c>
      <c r="E6" s="62">
        <f t="shared" ref="E6:E10" si="0">C6*D6</f>
        <v>32400</v>
      </c>
      <c r="G6" s="37" t="s">
        <v>10</v>
      </c>
      <c r="H6" s="34">
        <v>200</v>
      </c>
      <c r="I6" s="37" t="s">
        <v>46</v>
      </c>
      <c r="J6" s="6">
        <v>30</v>
      </c>
      <c r="L6" s="10" t="s">
        <v>24</v>
      </c>
      <c r="M6" s="11">
        <v>200</v>
      </c>
      <c r="N6" s="9" t="s">
        <v>23</v>
      </c>
    </row>
    <row r="7" spans="1:14" ht="15" customHeight="1">
      <c r="A7" s="46" t="s">
        <v>63</v>
      </c>
      <c r="B7" s="61">
        <f>J6</f>
        <v>30</v>
      </c>
      <c r="C7" s="91">
        <f>6*B7</f>
        <v>180</v>
      </c>
      <c r="D7" s="91">
        <v>95</v>
      </c>
      <c r="E7" s="62">
        <f t="shared" ref="E7" si="1">C7*D7</f>
        <v>17100</v>
      </c>
      <c r="G7" s="37" t="s">
        <v>50</v>
      </c>
      <c r="H7" s="34">
        <v>0</v>
      </c>
      <c r="I7" s="37" t="s">
        <v>59</v>
      </c>
      <c r="J7" s="6">
        <v>20</v>
      </c>
      <c r="L7" s="10" t="s">
        <v>25</v>
      </c>
      <c r="M7" s="11">
        <v>0</v>
      </c>
      <c r="N7" s="9" t="s">
        <v>23</v>
      </c>
    </row>
    <row r="8" spans="1:14" ht="15" customHeight="1" thickBot="1">
      <c r="A8" s="46" t="s">
        <v>64</v>
      </c>
      <c r="B8" s="61">
        <f>J7</f>
        <v>20</v>
      </c>
      <c r="C8" s="91">
        <f>6*B8</f>
        <v>120</v>
      </c>
      <c r="D8" s="91">
        <v>93.4</v>
      </c>
      <c r="E8" s="62">
        <f>C8*D8</f>
        <v>11208</v>
      </c>
      <c r="G8" s="38" t="s">
        <v>51</v>
      </c>
      <c r="H8" s="35">
        <v>0</v>
      </c>
      <c r="I8" s="38" t="s">
        <v>48</v>
      </c>
      <c r="J8" s="12">
        <v>10</v>
      </c>
      <c r="L8" s="10" t="s">
        <v>36</v>
      </c>
      <c r="M8" s="11">
        <v>92</v>
      </c>
      <c r="N8" s="9" t="s">
        <v>38</v>
      </c>
    </row>
    <row r="9" spans="1:14" ht="15" customHeight="1" thickBot="1">
      <c r="A9" s="46" t="s">
        <v>7</v>
      </c>
      <c r="B9" s="61"/>
      <c r="C9" s="91">
        <f>SUM(H5,H6)</f>
        <v>400</v>
      </c>
      <c r="D9" s="91">
        <v>84.8</v>
      </c>
      <c r="E9" s="62">
        <f t="shared" si="0"/>
        <v>33920</v>
      </c>
      <c r="L9" s="10" t="s">
        <v>37</v>
      </c>
      <c r="M9" s="11">
        <v>81</v>
      </c>
      <c r="N9" s="9" t="s">
        <v>38</v>
      </c>
    </row>
    <row r="10" spans="1:14" ht="15" customHeight="1" thickBot="1">
      <c r="A10" s="46" t="s">
        <v>6</v>
      </c>
      <c r="B10" s="61"/>
      <c r="C10" s="91">
        <f>SUM(H7,H8)</f>
        <v>0</v>
      </c>
      <c r="D10" s="91">
        <v>148.5</v>
      </c>
      <c r="E10" s="62">
        <f t="shared" si="0"/>
        <v>0</v>
      </c>
      <c r="G10" s="74" t="s">
        <v>11</v>
      </c>
      <c r="H10" s="75"/>
      <c r="I10" s="75"/>
      <c r="J10" s="76"/>
      <c r="L10" s="10"/>
      <c r="M10" s="11"/>
      <c r="N10" s="9"/>
    </row>
    <row r="11" spans="1:14" ht="15" customHeight="1">
      <c r="A11" s="46" t="s">
        <v>48</v>
      </c>
      <c r="B11" s="61"/>
      <c r="C11" s="91">
        <f>J8</f>
        <v>10</v>
      </c>
      <c r="D11" s="91">
        <v>142</v>
      </c>
      <c r="E11" s="62">
        <f t="shared" ref="E11" si="2">C11*D11</f>
        <v>1420</v>
      </c>
      <c r="F11" s="13">
        <f>E12/1000</f>
        <v>234.06115</v>
      </c>
      <c r="G11" s="85">
        <f>M5-C14</f>
        <v>203.82999999999993</v>
      </c>
      <c r="H11" s="86"/>
      <c r="I11" s="86"/>
      <c r="J11" s="87"/>
      <c r="L11" s="10" t="s">
        <v>26</v>
      </c>
      <c r="M11" s="11">
        <v>90</v>
      </c>
      <c r="N11" s="9" t="s">
        <v>27</v>
      </c>
    </row>
    <row r="12" spans="1:14" s="14" customFormat="1" ht="15" customHeight="1" thickBot="1">
      <c r="A12" s="48" t="s">
        <v>42</v>
      </c>
      <c r="B12" s="45"/>
      <c r="C12" s="49">
        <f>SUM(C5,C9,C10,C11)</f>
        <v>2736.17</v>
      </c>
      <c r="D12" s="49">
        <f>E12/C12</f>
        <v>85.543350742095697</v>
      </c>
      <c r="E12" s="50">
        <f>SUM(E5,E9,E10,E11)</f>
        <v>234061.15</v>
      </c>
      <c r="F12" s="13">
        <f>E14/1000</f>
        <v>295.53915000000001</v>
      </c>
      <c r="G12" s="88"/>
      <c r="H12" s="89"/>
      <c r="I12" s="89"/>
      <c r="J12" s="90"/>
      <c r="L12" s="10" t="s">
        <v>39</v>
      </c>
      <c r="M12" s="11">
        <v>17</v>
      </c>
      <c r="N12" s="9" t="s">
        <v>27</v>
      </c>
    </row>
    <row r="13" spans="1:14" s="14" customFormat="1" ht="15" customHeight="1">
      <c r="A13" s="51" t="s">
        <v>49</v>
      </c>
      <c r="B13" s="45"/>
      <c r="C13" s="52"/>
      <c r="D13" s="47"/>
      <c r="E13" s="53">
        <v>770</v>
      </c>
      <c r="F13" s="13"/>
      <c r="K13" s="10"/>
      <c r="L13" s="11" t="s">
        <v>52</v>
      </c>
      <c r="M13" s="15">
        <v>60</v>
      </c>
      <c r="N13" s="9" t="s">
        <v>27</v>
      </c>
    </row>
    <row r="14" spans="1:14" s="14" customFormat="1" ht="15" customHeight="1">
      <c r="A14" s="54" t="s">
        <v>44</v>
      </c>
      <c r="B14" s="55"/>
      <c r="C14" s="56">
        <f>SUM(C12+C6+C7+C8)</f>
        <v>3396.17</v>
      </c>
      <c r="D14" s="56">
        <f>E14/C14</f>
        <v>87.021306353922213</v>
      </c>
      <c r="E14" s="57">
        <f>SUM(E6,E7,E8,E12,E13)</f>
        <v>295539.15000000002</v>
      </c>
      <c r="F14" s="13"/>
      <c r="K14" s="10"/>
      <c r="L14" s="11" t="s">
        <v>53</v>
      </c>
      <c r="M14" s="15">
        <v>30</v>
      </c>
      <c r="N14" s="9" t="s">
        <v>27</v>
      </c>
    </row>
    <row r="15" spans="1:14" s="14" customFormat="1" ht="15" customHeight="1">
      <c r="A15" s="58" t="s">
        <v>57</v>
      </c>
      <c r="B15" s="59">
        <v>16</v>
      </c>
      <c r="C15" s="60">
        <f>6*B15*-1</f>
        <v>-96</v>
      </c>
      <c r="D15" s="91">
        <f>D6</f>
        <v>90</v>
      </c>
      <c r="E15" s="62">
        <f>C15*D15</f>
        <v>-8640</v>
      </c>
      <c r="F15" s="13">
        <f>+E18/1000</f>
        <v>277.77915000000002</v>
      </c>
      <c r="K15" s="10"/>
      <c r="L15" s="11" t="s">
        <v>61</v>
      </c>
      <c r="M15" s="15">
        <v>20</v>
      </c>
      <c r="N15" s="9" t="s">
        <v>27</v>
      </c>
    </row>
    <row r="16" spans="1:14" ht="15" customHeight="1">
      <c r="A16" s="58" t="s">
        <v>58</v>
      </c>
      <c r="B16" s="59">
        <v>16</v>
      </c>
      <c r="C16" s="60">
        <f>6*B16*-1</f>
        <v>-96</v>
      </c>
      <c r="D16" s="91">
        <f>D7</f>
        <v>95</v>
      </c>
      <c r="E16" s="62">
        <f>C16*D16</f>
        <v>-9120</v>
      </c>
      <c r="G16" s="14"/>
      <c r="H16" s="14"/>
      <c r="I16" s="14"/>
      <c r="J16" s="14"/>
      <c r="K16" s="8"/>
      <c r="L16" s="11"/>
      <c r="M16" s="9"/>
    </row>
    <row r="17" spans="1:14" ht="15" customHeight="1">
      <c r="A17" s="58" t="s">
        <v>60</v>
      </c>
      <c r="B17" s="59">
        <v>0</v>
      </c>
      <c r="C17" s="60">
        <f>6*B17*-1</f>
        <v>0</v>
      </c>
      <c r="D17" s="91">
        <f>D8</f>
        <v>93.4</v>
      </c>
      <c r="E17" s="62">
        <f>C17*D17</f>
        <v>0</v>
      </c>
      <c r="G17" s="22"/>
      <c r="H17" s="22"/>
      <c r="I17" s="22"/>
      <c r="J17" s="22"/>
      <c r="K17" s="16"/>
      <c r="L17" s="17"/>
      <c r="M17" s="18"/>
    </row>
    <row r="18" spans="1:14" ht="15" customHeight="1" thickBot="1">
      <c r="A18" s="63" t="s">
        <v>43</v>
      </c>
      <c r="B18" s="64"/>
      <c r="C18" s="65">
        <f>SUM(C14:C17)</f>
        <v>3204.17</v>
      </c>
      <c r="D18" s="65">
        <f>E18/C18</f>
        <v>86.693012543029866</v>
      </c>
      <c r="E18" s="66">
        <f>SUM(E14:E17)</f>
        <v>277779.15000000002</v>
      </c>
    </row>
    <row r="19" spans="1:14" ht="15" customHeight="1" thickBot="1"/>
    <row r="20" spans="1:14" ht="24">
      <c r="G20" s="23" t="s">
        <v>28</v>
      </c>
      <c r="H20" s="24"/>
      <c r="I20" s="24"/>
      <c r="J20" s="25"/>
    </row>
    <row r="21" spans="1:14">
      <c r="G21" s="26" t="str">
        <f>IF(C14&gt;M5,"Warning: Maximum Gross Weight Exceeded","")</f>
        <v/>
      </c>
      <c r="H21" s="27"/>
      <c r="I21" s="27"/>
      <c r="J21" s="28"/>
    </row>
    <row r="22" spans="1:14">
      <c r="G22" s="26" t="str">
        <f>IF(((C11)&gt;(M6)),"Warning: Too Much Baggage Area","")</f>
        <v/>
      </c>
      <c r="H22" s="27"/>
      <c r="I22" s="27"/>
      <c r="J22" s="29"/>
    </row>
    <row r="23" spans="1:14">
      <c r="G23" s="26" t="str">
        <f>IF(((C11)&gt;(M6)),"Warning: Too Much Baggage Area 2","")</f>
        <v/>
      </c>
      <c r="H23" s="27"/>
      <c r="I23" s="27"/>
      <c r="J23" s="29"/>
    </row>
    <row r="24" spans="1:14">
      <c r="G24" s="26" t="str">
        <f>IF(MAX(D14)&gt;M8,"Warning: C.G. Too Far Aft","")&amp;IF((D14&lt;M9),"Warning: C.G. Too Far Forward","")</f>
        <v/>
      </c>
      <c r="H24" s="27"/>
      <c r="I24" s="27"/>
      <c r="J24" s="28"/>
    </row>
    <row r="25" spans="1:14">
      <c r="G25" s="26" t="str">
        <f>IF(B6&gt;M13,"Error: Too Much Fuel","")&amp;IF(B7&gt;M14,"Error: Too Much Fuel","")&amp;IF(B8&gt;M15,"Error: Too Much Fuel","")&amp;IF(B6+B7&lt;M12," Warning: Low Fuel","")</f>
        <v/>
      </c>
      <c r="H25" s="27"/>
      <c r="I25" s="27"/>
      <c r="J25" s="28"/>
    </row>
    <row r="26" spans="1:14" ht="12.75" thickBot="1">
      <c r="G26" s="30" t="str">
        <f>IF(MAX(D18)&gt;M8,"Warning: C.G. Too Far Aft for Landing","")&amp;IF((D18&lt;M9),"Warning: C.G. Too Far Forward for Landing","")</f>
        <v/>
      </c>
      <c r="H26" s="31"/>
      <c r="I26" s="31"/>
      <c r="J26" s="32"/>
    </row>
    <row r="27" spans="1:14">
      <c r="A27" s="2" t="s">
        <v>45</v>
      </c>
      <c r="B27" s="2"/>
      <c r="D27" s="1" t="s">
        <v>4</v>
      </c>
      <c r="E27" s="1"/>
      <c r="L27" s="73" t="s">
        <v>13</v>
      </c>
      <c r="M27" s="73"/>
      <c r="N27" s="73"/>
    </row>
    <row r="28" spans="1:14">
      <c r="A28" s="2"/>
      <c r="B28" s="2"/>
      <c r="D28" s="1">
        <v>81</v>
      </c>
      <c r="E28" s="2">
        <v>2450</v>
      </c>
      <c r="L28" s="68" t="s">
        <v>14</v>
      </c>
      <c r="M28" s="68"/>
      <c r="N28" s="68"/>
    </row>
    <row r="29" spans="1:14">
      <c r="A29" s="2"/>
      <c r="B29" s="2"/>
      <c r="D29" s="1">
        <v>83</v>
      </c>
      <c r="E29" s="2">
        <v>3200</v>
      </c>
      <c r="G29" s="20" t="s">
        <v>56</v>
      </c>
      <c r="H29" s="21">
        <v>44224</v>
      </c>
      <c r="I29" s="20"/>
      <c r="J29" s="20"/>
      <c r="L29" s="68" t="s">
        <v>15</v>
      </c>
      <c r="M29" s="68"/>
      <c r="N29" s="68"/>
    </row>
    <row r="30" spans="1:14">
      <c r="A30" s="2"/>
      <c r="B30" s="2"/>
      <c r="D30" s="1">
        <v>86.5</v>
      </c>
      <c r="E30" s="2">
        <v>3600</v>
      </c>
      <c r="G30" s="20"/>
      <c r="H30" s="20"/>
      <c r="I30" s="20"/>
      <c r="J30" s="20"/>
      <c r="L30" s="67" t="s">
        <v>29</v>
      </c>
      <c r="M30" s="67"/>
      <c r="N30" s="67"/>
    </row>
    <row r="31" spans="1:14">
      <c r="A31" s="2"/>
      <c r="B31" s="2"/>
      <c r="D31" s="1">
        <v>92</v>
      </c>
      <c r="E31" s="2">
        <v>3600</v>
      </c>
      <c r="L31" s="10" t="s">
        <v>30</v>
      </c>
      <c r="M31" s="10"/>
      <c r="N31" s="10"/>
    </row>
    <row r="32" spans="1:14">
      <c r="A32" s="2"/>
      <c r="B32" s="2"/>
      <c r="D32" s="1">
        <v>92</v>
      </c>
      <c r="E32" s="2">
        <v>2450</v>
      </c>
      <c r="L32" s="10" t="s">
        <v>31</v>
      </c>
      <c r="M32" s="10"/>
      <c r="N32" s="10"/>
    </row>
    <row r="33" spans="1:14">
      <c r="A33" s="2"/>
      <c r="B33" s="2"/>
      <c r="D33" s="1">
        <v>81</v>
      </c>
      <c r="E33" s="2">
        <v>2450</v>
      </c>
      <c r="L33" s="10" t="s">
        <v>32</v>
      </c>
      <c r="M33" s="10"/>
      <c r="N33" s="10"/>
    </row>
    <row r="34" spans="1:14">
      <c r="D34" s="19"/>
      <c r="L34" s="10" t="s">
        <v>33</v>
      </c>
      <c r="M34" s="10"/>
      <c r="N34" s="10"/>
    </row>
    <row r="35" spans="1:14">
      <c r="L35" s="10" t="s">
        <v>34</v>
      </c>
      <c r="M35" s="10"/>
      <c r="N35" s="10"/>
    </row>
    <row r="36" spans="1:14">
      <c r="L36" s="10" t="s">
        <v>35</v>
      </c>
      <c r="M36" s="10"/>
      <c r="N36" s="10"/>
    </row>
    <row r="37" spans="1:14">
      <c r="L37" s="9"/>
      <c r="M37" s="9"/>
      <c r="N37" s="9"/>
    </row>
    <row r="38" spans="1:14">
      <c r="L38" s="10" t="s">
        <v>16</v>
      </c>
      <c r="M38" s="10"/>
      <c r="N38" s="10"/>
    </row>
    <row r="39" spans="1:14">
      <c r="L39" s="10" t="s">
        <v>17</v>
      </c>
      <c r="M39" s="10"/>
      <c r="N39" s="10"/>
    </row>
    <row r="40" spans="1:14">
      <c r="L40" s="10" t="s">
        <v>18</v>
      </c>
      <c r="M40" s="10"/>
      <c r="N40" s="10"/>
    </row>
    <row r="41" spans="1:14">
      <c r="L41" s="10" t="s">
        <v>19</v>
      </c>
      <c r="M41" s="10"/>
      <c r="N41" s="10"/>
    </row>
    <row r="42" spans="1:14">
      <c r="L42" s="10" t="s">
        <v>20</v>
      </c>
      <c r="M42" s="10"/>
      <c r="N42" s="10"/>
    </row>
  </sheetData>
  <sheetProtection algorithmName="SHA-512" hashValue="D15usG8A6fJCv7EFiVd3INUzw5JWz4nwEFK42QhcNN3arPzyT0sf8T4DSFv8E7oksS9bQKySPq6Z03NQ4fa+WQ==" saltValue="bf6xuneHS/vi78JP4OKicw==" spinCount="100000" sheet="1" objects="1" scenarios="1" selectLockedCells="1"/>
  <mergeCells count="12">
    <mergeCell ref="A2:E2"/>
    <mergeCell ref="G2:J2"/>
    <mergeCell ref="G11:J12"/>
    <mergeCell ref="L30:N30"/>
    <mergeCell ref="L29:N29"/>
    <mergeCell ref="L28:N28"/>
    <mergeCell ref="A3:B3"/>
    <mergeCell ref="C3:D3"/>
    <mergeCell ref="L27:N27"/>
    <mergeCell ref="G10:J10"/>
    <mergeCell ref="G3:H3"/>
    <mergeCell ref="I3:J3"/>
  </mergeCells>
  <phoneticPr fontId="2" type="noConversion"/>
  <conditionalFormatting sqref="G11">
    <cfRule type="cellIs" dxfId="2" priority="1" stopIfTrue="1" operator="lessThan">
      <formula>5</formula>
    </cfRule>
    <cfRule type="cellIs" dxfId="1" priority="2" stopIfTrue="1" operator="between">
      <formula>5</formula>
      <formula>10</formula>
    </cfRule>
    <cfRule type="cellIs" dxfId="0" priority="3" stopIfTrue="1" operator="greaterThan">
      <formula>10</formula>
    </cfRule>
  </conditionalFormatting>
  <pageMargins left="0.75" right="0.75" top="1" bottom="1" header="0.5" footer="0.5"/>
  <pageSetup scale="69" orientation="portrait" r:id="rId1"/>
  <headerFooter alignWithMargins="0"/>
  <ignoredErrors>
    <ignoredError sqref="D14 D18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W&amp;B</vt:lpstr>
      <vt:lpstr>Sheet1</vt:lpstr>
      <vt:lpstr>Sheet2</vt:lpstr>
      <vt:lpstr>'W&amp;B'!Print_Area</vt:lpstr>
    </vt:vector>
  </TitlesOfParts>
  <Company>http://phreakmonkey.com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Cessna 172 Weight &amp; Balance Worksheet</dc:title>
  <dc:creator>K.C. Budd</dc:creator>
  <cp:lastModifiedBy>David Bursey</cp:lastModifiedBy>
  <cp:lastPrinted>2020-08-10T12:17:09Z</cp:lastPrinted>
  <dcterms:created xsi:type="dcterms:W3CDTF">2002-01-11T02:08:39Z</dcterms:created>
  <dcterms:modified xsi:type="dcterms:W3CDTF">2025-08-19T21:29:31Z</dcterms:modified>
</cp:coreProperties>
</file>